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C\francisco\OKK FRANCISCO\bases\CURSOS GENERALES\a a a a a ICAF\aacaf 2020\11 LEÓN ZAM Y MORGÁN\"/>
    </mc:Choice>
  </mc:AlternateContent>
  <bookViews>
    <workbookView xWindow="0" yWindow="0" windowWidth="20490" windowHeight="7455"/>
  </bookViews>
  <sheets>
    <sheet name="2 quincenas" sheetId="1" r:id="rId1"/>
    <sheet name="TABLAS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N31" i="1" l="1"/>
  <c r="C17" i="1" l="1"/>
  <c r="N9" i="1" l="1"/>
  <c r="N7" i="1"/>
  <c r="N5" i="1"/>
  <c r="N6" i="1" s="1"/>
  <c r="N8" i="1" s="1"/>
  <c r="N10" i="1" s="1"/>
  <c r="N12" i="1" s="1"/>
  <c r="J26" i="2" l="1"/>
  <c r="C9" i="1" l="1"/>
  <c r="C5" i="1"/>
  <c r="C7" i="1"/>
  <c r="L11" i="1" l="1"/>
  <c r="C6" i="1"/>
  <c r="C8" i="1" s="1"/>
  <c r="C10" i="1" s="1"/>
  <c r="C12" i="1" l="1"/>
  <c r="C13" i="1"/>
  <c r="O22" i="1" s="1"/>
  <c r="L10" i="1"/>
  <c r="O17" i="1" s="1"/>
  <c r="Q4" i="1"/>
  <c r="Q11" i="1" l="1"/>
  <c r="Q16" i="1"/>
  <c r="C21" i="1"/>
  <c r="C25" i="1" s="1"/>
  <c r="C18" i="1"/>
  <c r="C19" i="1" s="1"/>
  <c r="C22" i="1"/>
  <c r="Q9" i="1"/>
  <c r="Q7" i="1"/>
  <c r="Q5" i="1"/>
  <c r="Q6" i="1" s="1"/>
  <c r="N13" i="1" l="1"/>
  <c r="N14" i="1" s="1"/>
  <c r="N17" i="1" s="1"/>
  <c r="N32" i="1" s="1"/>
  <c r="N18" i="1"/>
  <c r="N33" i="1" s="1"/>
  <c r="N19" i="1"/>
  <c r="O18" i="1"/>
  <c r="O19" i="1" s="1"/>
  <c r="C23" i="1"/>
  <c r="C26" i="1"/>
  <c r="Q8" i="1"/>
  <c r="Q10" i="1" s="1"/>
  <c r="Q12" i="1" s="1"/>
  <c r="O21" i="1" l="1"/>
  <c r="O23" i="1" s="1"/>
  <c r="O31" i="1"/>
  <c r="N26" i="1"/>
  <c r="Q26" i="1"/>
  <c r="Q18" i="1"/>
  <c r="Q32" i="1"/>
  <c r="N34" i="1"/>
  <c r="N41" i="1"/>
  <c r="Q30" i="1"/>
  <c r="Q27" i="1"/>
  <c r="N22" i="1"/>
  <c r="N21" i="1"/>
  <c r="N25" i="1"/>
  <c r="Q21" i="1"/>
  <c r="Q17" i="1"/>
  <c r="Q19" i="1" s="1"/>
  <c r="N27" i="1"/>
  <c r="N28" i="1" l="1"/>
  <c r="N23" i="1"/>
  <c r="N38" i="1" s="1"/>
  <c r="N36" i="1"/>
  <c r="Q31" i="1"/>
  <c r="N24" i="1"/>
  <c r="N37" i="1"/>
  <c r="Q28" i="1"/>
  <c r="Q22" i="1"/>
  <c r="N40" i="1" l="1"/>
  <c r="N42" i="1" s="1"/>
  <c r="N44" i="1" s="1"/>
  <c r="N45" i="1" s="1"/>
  <c r="N39" i="1"/>
  <c r="Q33" i="1"/>
  <c r="Q34" i="1" s="1"/>
</calcChain>
</file>

<file path=xl/comments1.xml><?xml version="1.0" encoding="utf-8"?>
<comments xmlns="http://schemas.openxmlformats.org/spreadsheetml/2006/main">
  <authors>
    <author>Francisco Hernandez</author>
  </authors>
  <commentList>
    <comment ref="N18" authorId="0" shapeId="0">
      <text>
        <r>
          <rPr>
            <b/>
            <sz val="9"/>
            <color indexed="81"/>
            <rFont val="Tahoma"/>
            <family val="2"/>
          </rPr>
          <t>Francisco Hernandez:</t>
        </r>
        <r>
          <rPr>
            <sz val="9"/>
            <color indexed="81"/>
            <rFont val="Tahoma"/>
            <family val="2"/>
          </rPr>
          <t xml:space="preserve">
DIFERENCIA SAE CAUSADO Y SAE MENSUAL</t>
        </r>
      </text>
    </comment>
    <comment ref="N27" authorId="0" shapeId="0">
      <text>
        <r>
          <rPr>
            <b/>
            <sz val="9"/>
            <color indexed="81"/>
            <rFont val="Tahoma"/>
            <charset val="1"/>
          </rPr>
          <t>Francisco Hernandez:</t>
        </r>
        <r>
          <rPr>
            <sz val="9"/>
            <color indexed="81"/>
            <rFont val="Tahoma"/>
            <charset val="1"/>
          </rPr>
          <t xml:space="preserve">
SE CONVIERTE EN ISR SI SAE PAGADO ES &gt; A AJUSTE CAUSADO 107)</t>
        </r>
      </text>
    </comment>
  </commentList>
</comments>
</file>

<file path=xl/sharedStrings.xml><?xml version="1.0" encoding="utf-8"?>
<sst xmlns="http://schemas.openxmlformats.org/spreadsheetml/2006/main" count="159" uniqueCount="67">
  <si>
    <t>TABLA DEL ISPT</t>
  </si>
  <si>
    <t xml:space="preserve">LIMITE </t>
  </si>
  <si>
    <t>LIMITE</t>
  </si>
  <si>
    <t>CUOTA</t>
  </si>
  <si>
    <t>PORCENTAJE</t>
  </si>
  <si>
    <t>C.A.S.</t>
  </si>
  <si>
    <t>INFERIOR</t>
  </si>
  <si>
    <t>SUPERIOR</t>
  </si>
  <si>
    <t>FIJA</t>
  </si>
  <si>
    <t xml:space="preserve"> En adelante </t>
  </si>
  <si>
    <t>TABLA DEL SAE</t>
  </si>
  <si>
    <t>TABLAS SEMANALES</t>
  </si>
  <si>
    <t>TABLAS MENSUALES</t>
  </si>
  <si>
    <t>SUELDO BASE</t>
  </si>
  <si>
    <t>LIMITE INFERIOR</t>
  </si>
  <si>
    <t>DIFERENCIA</t>
  </si>
  <si>
    <t>% SOBRE TASA MARIGINAL</t>
  </si>
  <si>
    <t>ISR CAUSADO</t>
  </si>
  <si>
    <t>SAE CAUSADO</t>
  </si>
  <si>
    <t>ISR A CARGO (SAE EN EFECTIVO)</t>
  </si>
  <si>
    <t>IMPUESTO MARGINAL</t>
  </si>
  <si>
    <t>CUARTA SEMANA</t>
  </si>
  <si>
    <t>CÁLCULO ACUMULADO</t>
  </si>
  <si>
    <t>SUELDO</t>
  </si>
  <si>
    <t>01</t>
  </si>
  <si>
    <t>02</t>
  </si>
  <si>
    <t>SAE PAGADO EN EFECTIVO</t>
  </si>
  <si>
    <t>NETO TOTAL ANTES IMSS</t>
  </si>
  <si>
    <t>ISR A RETENER</t>
  </si>
  <si>
    <t>AJUSTE SUBS AL EMPLEO CAUSAD</t>
  </si>
  <si>
    <t>CUENTAS DE ORDEN</t>
  </si>
  <si>
    <t>071</t>
  </si>
  <si>
    <t>07</t>
  </si>
  <si>
    <t>08</t>
  </si>
  <si>
    <t xml:space="preserve">ISR   </t>
  </si>
  <si>
    <t>AJUSTE SAE EFECT PAGADO</t>
  </si>
  <si>
    <t>ISR AJUSTADO SAE</t>
  </si>
  <si>
    <t>SAE PAGADO INCORRECTO</t>
  </si>
  <si>
    <t>ISR A CARGO</t>
  </si>
  <si>
    <t>SAE EN EFECTIVO</t>
  </si>
  <si>
    <t>OTROS PAGOS</t>
  </si>
  <si>
    <t>OTRAS DEDUC</t>
  </si>
  <si>
    <t>ISR AC CAUS</t>
  </si>
  <si>
    <t>SAE ACUM CAUS</t>
  </si>
  <si>
    <t>PRIMERA QUINCENA</t>
  </si>
  <si>
    <t>SEGUNDA QUINCENA</t>
  </si>
  <si>
    <t>TOTAL INGRESOS</t>
  </si>
  <si>
    <t>TOTAL ISR</t>
  </si>
  <si>
    <t>TOTAL SAE</t>
  </si>
  <si>
    <t>NETO</t>
  </si>
  <si>
    <t>ISR</t>
  </si>
  <si>
    <t>SAE EXCEDENTE O (FALTANTE)</t>
  </si>
  <si>
    <t>NETO ISR</t>
  </si>
  <si>
    <t>SAE</t>
  </si>
  <si>
    <t>TOTAL SAES</t>
  </si>
  <si>
    <t>TOTAL ISRS</t>
  </si>
  <si>
    <t>ÚLTIMO RECIBO</t>
  </si>
  <si>
    <t>ISR A RETENER EN LA ÚLTIMA NÓMINA</t>
  </si>
  <si>
    <t>SAE A PAGAR EN LA ÚLTIMA NÓMINA</t>
  </si>
  <si>
    <t>total isr contabilizados más 07</t>
  </si>
  <si>
    <t>total sae contabilizados menos 107 o más 02</t>
  </si>
  <si>
    <t>total isr contabilizados</t>
  </si>
  <si>
    <t>isr adicional última nómina 07</t>
  </si>
  <si>
    <t>sae última nómina</t>
  </si>
  <si>
    <t xml:space="preserve">total sae previos </t>
  </si>
  <si>
    <t>ISR CAUSADO ÚLTIMA NÓMINA</t>
  </si>
  <si>
    <t>SUBSIDIO FALTANTE ÚLTIMA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</si>
</sst>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</cellStyleXfs>
  <cellXfs count="110">
    <xf numFmtId="0" fontId="0" fillId="0" borderId="0" xfId="0"/>
    <xf numFmtId="4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10" fontId="2" fillId="0" borderId="0" xfId="0" applyNumberFormat="1" applyFont="1" applyBorder="1" applyAlignment="1">
      <alignment horizontal="centerContinuous"/>
    </xf>
    <xf numFmtId="4" fontId="2" fillId="0" borderId="6" xfId="0" applyNumberFormat="1" applyFont="1" applyBorder="1" applyAlignment="1">
      <alignment horizontal="centerContinuous"/>
    </xf>
    <xf numFmtId="0" fontId="2" fillId="0" borderId="5" xfId="0" applyFont="1" applyBorder="1"/>
    <xf numFmtId="4" fontId="2" fillId="0" borderId="0" xfId="0" applyNumberFormat="1" applyFont="1" applyBorder="1"/>
    <xf numFmtId="10" fontId="2" fillId="0" borderId="0" xfId="0" applyNumberFormat="1" applyFont="1" applyBorder="1"/>
    <xf numFmtId="0" fontId="2" fillId="0" borderId="0" xfId="0" applyFont="1" applyBorder="1"/>
    <xf numFmtId="4" fontId="2" fillId="0" borderId="6" xfId="0" applyNumberFormat="1" applyFont="1" applyBorder="1"/>
    <xf numFmtId="164" fontId="5" fillId="0" borderId="0" xfId="3" applyFont="1" applyBorder="1"/>
    <xf numFmtId="10" fontId="5" fillId="0" borderId="0" xfId="2" applyNumberFormat="1" applyFont="1" applyBorder="1"/>
    <xf numFmtId="164" fontId="5" fillId="0" borderId="6" xfId="3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/>
    <xf numFmtId="0" fontId="2" fillId="0" borderId="0" xfId="0" applyFont="1" applyFill="1"/>
    <xf numFmtId="39" fontId="3" fillId="0" borderId="0" xfId="4" applyNumberFormat="1" applyFont="1" applyFill="1" applyBorder="1"/>
    <xf numFmtId="43" fontId="2" fillId="0" borderId="0" xfId="1" applyFont="1"/>
    <xf numFmtId="10" fontId="2" fillId="0" borderId="10" xfId="2" applyNumberFormat="1" applyFont="1" applyBorder="1"/>
    <xf numFmtId="43" fontId="2" fillId="0" borderId="0" xfId="0" applyNumberFormat="1" applyFont="1"/>
    <xf numFmtId="43" fontId="2" fillId="0" borderId="10" xfId="1" applyFont="1" applyBorder="1"/>
    <xf numFmtId="43" fontId="2" fillId="0" borderId="0" xfId="1" applyFont="1" applyBorder="1"/>
    <xf numFmtId="43" fontId="2" fillId="2" borderId="11" xfId="0" applyNumberFormat="1" applyFont="1" applyFill="1" applyBorder="1"/>
    <xf numFmtId="0" fontId="2" fillId="2" borderId="12" xfId="0" applyFont="1" applyFill="1" applyBorder="1"/>
    <xf numFmtId="43" fontId="2" fillId="4" borderId="1" xfId="0" applyNumberFormat="1" applyFont="1" applyFill="1" applyBorder="1"/>
    <xf numFmtId="43" fontId="2" fillId="2" borderId="12" xfId="1" applyFont="1" applyFill="1" applyBorder="1"/>
    <xf numFmtId="0" fontId="2" fillId="0" borderId="2" xfId="0" applyFont="1" applyBorder="1"/>
    <xf numFmtId="0" fontId="2" fillId="3" borderId="2" xfId="0" applyFont="1" applyFill="1" applyBorder="1"/>
    <xf numFmtId="43" fontId="2" fillId="2" borderId="1" xfId="1" applyFont="1" applyFill="1" applyBorder="1"/>
    <xf numFmtId="43" fontId="2" fillId="0" borderId="6" xfId="1" applyFont="1" applyBorder="1"/>
    <xf numFmtId="43" fontId="2" fillId="3" borderId="4" xfId="0" applyNumberFormat="1" applyFont="1" applyFill="1" applyBorder="1"/>
    <xf numFmtId="0" fontId="2" fillId="0" borderId="13" xfId="0" quotePrefix="1" applyFont="1" applyBorder="1"/>
    <xf numFmtId="0" fontId="2" fillId="0" borderId="14" xfId="0" applyFont="1" applyBorder="1"/>
    <xf numFmtId="0" fontId="2" fillId="0" borderId="5" xfId="0" quotePrefix="1" applyFont="1" applyBorder="1"/>
    <xf numFmtId="43" fontId="2" fillId="0" borderId="6" xfId="0" applyNumberFormat="1" applyFont="1" applyBorder="1"/>
    <xf numFmtId="0" fontId="2" fillId="0" borderId="5" xfId="0" quotePrefix="1" applyFont="1" applyBorder="1" applyAlignment="1">
      <alignment horizontal="right"/>
    </xf>
    <xf numFmtId="0" fontId="2" fillId="0" borderId="3" xfId="0" applyFont="1" applyBorder="1"/>
    <xf numFmtId="43" fontId="2" fillId="0" borderId="15" xfId="1" applyFont="1" applyBorder="1"/>
    <xf numFmtId="0" fontId="2" fillId="0" borderId="13" xfId="0" applyFont="1" applyBorder="1"/>
    <xf numFmtId="43" fontId="2" fillId="0" borderId="16" xfId="1" applyFont="1" applyBorder="1"/>
    <xf numFmtId="10" fontId="2" fillId="0" borderId="16" xfId="2" applyNumberFormat="1" applyFont="1" applyBorder="1"/>
    <xf numFmtId="43" fontId="2" fillId="5" borderId="1" xfId="0" applyNumberFormat="1" applyFont="1" applyFill="1" applyBorder="1"/>
    <xf numFmtId="43" fontId="2" fillId="0" borderId="15" xfId="0" applyNumberFormat="1" applyFont="1" applyBorder="1"/>
    <xf numFmtId="43" fontId="2" fillId="0" borderId="9" xfId="0" applyNumberFormat="1" applyFont="1" applyBorder="1"/>
    <xf numFmtId="43" fontId="2" fillId="3" borderId="1" xfId="1" applyFont="1" applyFill="1" applyBorder="1"/>
    <xf numFmtId="0" fontId="2" fillId="0" borderId="7" xfId="0" quotePrefix="1" applyFont="1" applyBorder="1"/>
    <xf numFmtId="0" fontId="2" fillId="3" borderId="4" xfId="0" applyFont="1" applyFill="1" applyBorder="1"/>
    <xf numFmtId="0" fontId="2" fillId="0" borderId="7" xfId="0" quotePrefix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3" borderId="14" xfId="0" applyFont="1" applyFill="1" applyBorder="1"/>
    <xf numFmtId="0" fontId="2" fillId="3" borderId="8" xfId="0" applyFont="1" applyFill="1" applyBorder="1"/>
    <xf numFmtId="0" fontId="2" fillId="0" borderId="13" xfId="0" quotePrefix="1" applyFont="1" applyBorder="1" applyAlignment="1">
      <alignment horizontal="right"/>
    </xf>
    <xf numFmtId="43" fontId="2" fillId="5" borderId="15" xfId="0" applyNumberFormat="1" applyFont="1" applyFill="1" applyBorder="1"/>
    <xf numFmtId="43" fontId="2" fillId="6" borderId="0" xfId="1" applyFont="1" applyFill="1"/>
    <xf numFmtId="43" fontId="2" fillId="6" borderId="0" xfId="0" applyNumberFormat="1" applyFont="1" applyFill="1"/>
    <xf numFmtId="0" fontId="2" fillId="5" borderId="13" xfId="0" applyFont="1" applyFill="1" applyBorder="1"/>
    <xf numFmtId="43" fontId="2" fillId="5" borderId="5" xfId="1" applyFont="1" applyFill="1" applyBorder="1"/>
    <xf numFmtId="43" fontId="2" fillId="5" borderId="6" xfId="1" applyFont="1" applyFill="1" applyBorder="1"/>
    <xf numFmtId="164" fontId="2" fillId="5" borderId="5" xfId="0" applyNumberFormat="1" applyFont="1" applyFill="1" applyBorder="1"/>
    <xf numFmtId="43" fontId="2" fillId="5" borderId="6" xfId="0" applyNumberFormat="1" applyFont="1" applyFill="1" applyBorder="1"/>
    <xf numFmtId="0" fontId="2" fillId="2" borderId="7" xfId="0" applyFont="1" applyFill="1" applyBorder="1"/>
    <xf numFmtId="43" fontId="2" fillId="2" borderId="9" xfId="0" applyNumberFormat="1" applyFont="1" applyFill="1" applyBorder="1"/>
    <xf numFmtId="164" fontId="2" fillId="0" borderId="0" xfId="0" applyNumberFormat="1" applyFont="1"/>
    <xf numFmtId="0" fontId="2" fillId="2" borderId="2" xfId="0" applyFont="1" applyFill="1" applyBorder="1"/>
    <xf numFmtId="43" fontId="2" fillId="2" borderId="4" xfId="0" applyNumberFormat="1" applyFont="1" applyFill="1" applyBorder="1"/>
    <xf numFmtId="43" fontId="2" fillId="2" borderId="0" xfId="0" applyNumberFormat="1" applyFont="1" applyFill="1"/>
    <xf numFmtId="0" fontId="2" fillId="6" borderId="13" xfId="0" applyFont="1" applyFill="1" applyBorder="1"/>
    <xf numFmtId="43" fontId="2" fillId="6" borderId="15" xfId="0" applyNumberFormat="1" applyFont="1" applyFill="1" applyBorder="1"/>
    <xf numFmtId="43" fontId="0" fillId="0" borderId="0" xfId="0" applyNumberFormat="1"/>
    <xf numFmtId="0" fontId="2" fillId="6" borderId="5" xfId="0" applyFont="1" applyFill="1" applyBorder="1"/>
    <xf numFmtId="43" fontId="2" fillId="6" borderId="6" xfId="0" applyNumberFormat="1" applyFont="1" applyFill="1" applyBorder="1"/>
    <xf numFmtId="0" fontId="2" fillId="6" borderId="7" xfId="0" applyFont="1" applyFill="1" applyBorder="1"/>
    <xf numFmtId="43" fontId="2" fillId="6" borderId="9" xfId="0" applyNumberFormat="1" applyFont="1" applyFill="1" applyBorder="1"/>
    <xf numFmtId="43" fontId="2" fillId="0" borderId="13" xfId="1" quotePrefix="1" applyFont="1" applyBorder="1"/>
    <xf numFmtId="43" fontId="2" fillId="0" borderId="14" xfId="1" applyFont="1" applyBorder="1"/>
    <xf numFmtId="43" fontId="2" fillId="0" borderId="4" xfId="0" applyNumberFormat="1" applyFont="1" applyBorder="1"/>
    <xf numFmtId="0" fontId="2" fillId="2" borderId="0" xfId="0" applyFont="1" applyFill="1"/>
    <xf numFmtId="0" fontId="2" fillId="3" borderId="0" xfId="0" applyFont="1" applyFill="1"/>
    <xf numFmtId="43" fontId="2" fillId="3" borderId="0" xfId="0" applyNumberFormat="1" applyFont="1" applyFill="1"/>
    <xf numFmtId="0" fontId="2" fillId="3" borderId="13" xfId="0" quotePrefix="1" applyFont="1" applyFill="1" applyBorder="1" applyAlignment="1">
      <alignment horizontal="right"/>
    </xf>
    <xf numFmtId="43" fontId="2" fillId="3" borderId="15" xfId="0" applyNumberFormat="1" applyFont="1" applyFill="1" applyBorder="1"/>
    <xf numFmtId="0" fontId="2" fillId="3" borderId="7" xfId="0" quotePrefix="1" applyFont="1" applyFill="1" applyBorder="1" applyAlignment="1">
      <alignment horizontal="right"/>
    </xf>
    <xf numFmtId="43" fontId="2" fillId="3" borderId="9" xfId="0" applyNumberFormat="1" applyFont="1" applyFill="1" applyBorder="1"/>
    <xf numFmtId="43" fontId="2" fillId="0" borderId="13" xfId="1" applyFont="1" applyBorder="1"/>
    <xf numFmtId="0" fontId="2" fillId="0" borderId="15" xfId="0" applyFont="1" applyBorder="1"/>
    <xf numFmtId="43" fontId="2" fillId="0" borderId="5" xfId="0" applyNumberFormat="1" applyFont="1" applyBorder="1"/>
    <xf numFmtId="43" fontId="2" fillId="0" borderId="7" xfId="0" applyNumberFormat="1" applyFont="1" applyBorder="1"/>
    <xf numFmtId="43" fontId="2" fillId="0" borderId="5" xfId="1" applyFont="1" applyBorder="1"/>
    <xf numFmtId="0" fontId="2" fillId="0" borderId="13" xfId="0" applyFont="1" applyFill="1" applyBorder="1"/>
    <xf numFmtId="0" fontId="2" fillId="0" borderId="5" xfId="0" applyFont="1" applyFill="1" applyBorder="1"/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5">
    <cellStyle name="Comma" xfId="1" builtinId="3"/>
    <cellStyle name="Comma 17" xfId="3"/>
    <cellStyle name="Normal" xfId="0" builtinId="0"/>
    <cellStyle name="Normal 10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rancisco\OKK%20FRANCISCO\bases\CURSOS%20GENERALES\a%20a%20a%20a%20a%20ICAF\aacaf%202020\1AAA%20SAE%202020\SUBSIDIO%20AL%20EMPLEO%202020%20DEBIO%20S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SEMANAS"/>
      <sheetName val="4 SEMANAS"/>
      <sheetName val="TABLAS"/>
    </sheetNames>
    <sheetDataSet>
      <sheetData sheetId="0"/>
      <sheetData sheetId="1"/>
      <sheetData sheetId="2">
        <row r="8">
          <cell r="Y8">
            <v>0.01</v>
          </cell>
          <cell r="Z8">
            <v>578.52</v>
          </cell>
          <cell r="AA8">
            <v>0</v>
          </cell>
          <cell r="AB8">
            <v>1.9199999999999998E-2</v>
          </cell>
          <cell r="AE8">
            <v>0.01</v>
          </cell>
          <cell r="AF8">
            <v>1769.0094285714283</v>
          </cell>
          <cell r="AG8">
            <v>407.05600000000004</v>
          </cell>
        </row>
        <row r="9">
          <cell r="Y9">
            <v>578.53</v>
          </cell>
          <cell r="Z9">
            <v>4910.1799999999994</v>
          </cell>
          <cell r="AA9">
            <v>11.11</v>
          </cell>
          <cell r="AB9">
            <v>6.4000000000000001E-2</v>
          </cell>
          <cell r="AE9">
            <v>1769.0194285714283</v>
          </cell>
          <cell r="AF9">
            <v>2653.3454285714283</v>
          </cell>
          <cell r="AG9">
            <v>406.75199999999995</v>
          </cell>
        </row>
        <row r="10">
          <cell r="Y10">
            <v>4910.1899999999996</v>
          </cell>
          <cell r="Z10">
            <v>8629.1999999999989</v>
          </cell>
          <cell r="AA10">
            <v>288.33</v>
          </cell>
          <cell r="AB10">
            <v>0.10880000000000001</v>
          </cell>
          <cell r="AE10">
            <v>2653.3554285714285</v>
          </cell>
          <cell r="AF10">
            <v>3472.9294285714286</v>
          </cell>
          <cell r="AG10">
            <v>406.75199999999995</v>
          </cell>
        </row>
        <row r="11">
          <cell r="Y11">
            <v>8629.2099999999991</v>
          </cell>
          <cell r="Z11">
            <v>10031.069999999998</v>
          </cell>
          <cell r="AA11">
            <v>692.95999999999992</v>
          </cell>
          <cell r="AB11">
            <v>0.16</v>
          </cell>
          <cell r="AE11">
            <v>3472.9394285714288</v>
          </cell>
          <cell r="AF11">
            <v>3537.9854285714282</v>
          </cell>
          <cell r="AG11">
            <v>392.76799999999997</v>
          </cell>
        </row>
        <row r="12">
          <cell r="Y12">
            <v>10031.079999999998</v>
          </cell>
          <cell r="Z12">
            <v>12009.94</v>
          </cell>
          <cell r="AA12">
            <v>917.26</v>
          </cell>
          <cell r="AB12">
            <v>0.17920000000000003</v>
          </cell>
          <cell r="AE12">
            <v>3537.9954285714284</v>
          </cell>
          <cell r="AF12">
            <v>4446.033428571428</v>
          </cell>
          <cell r="AG12">
            <v>382.43199999999996</v>
          </cell>
        </row>
        <row r="13">
          <cell r="Y13">
            <v>12009.95</v>
          </cell>
          <cell r="Z13">
            <v>24222.31</v>
          </cell>
          <cell r="AA13">
            <v>1271.8700000000001</v>
          </cell>
          <cell r="AB13">
            <v>0.21359999999999998</v>
          </cell>
          <cell r="AE13">
            <v>4446.0434285714282</v>
          </cell>
          <cell r="AF13">
            <v>4717.2014285714276</v>
          </cell>
          <cell r="AG13">
            <v>354.15999999999997</v>
          </cell>
        </row>
        <row r="14">
          <cell r="Y14">
            <v>24222.32</v>
          </cell>
          <cell r="Z14">
            <v>38177.689999999995</v>
          </cell>
          <cell r="AA14">
            <v>3880.44</v>
          </cell>
          <cell r="AB14">
            <v>0.23519999999999999</v>
          </cell>
          <cell r="AE14">
            <v>4717.2114285714279</v>
          </cell>
          <cell r="AF14">
            <v>5335.5374285714279</v>
          </cell>
          <cell r="AG14">
            <v>324.97599999999994</v>
          </cell>
        </row>
        <row r="15">
          <cell r="Y15">
            <v>38177.699999999997</v>
          </cell>
          <cell r="Z15">
            <v>72887.5</v>
          </cell>
          <cell r="AA15">
            <v>7162.7399999999989</v>
          </cell>
          <cell r="AB15">
            <v>0.3</v>
          </cell>
          <cell r="AE15">
            <v>5335.5474285714281</v>
          </cell>
          <cell r="AF15">
            <v>6224.7374285714277</v>
          </cell>
          <cell r="AG15">
            <v>294.57599999999996</v>
          </cell>
        </row>
        <row r="16">
          <cell r="Y16">
            <v>72887.509999999995</v>
          </cell>
          <cell r="Z16">
            <v>97183.329999999987</v>
          </cell>
          <cell r="AA16">
            <v>17575.689999999999</v>
          </cell>
          <cell r="AB16">
            <v>0.32</v>
          </cell>
          <cell r="AE16">
            <v>6224.7474285714279</v>
          </cell>
          <cell r="AF16">
            <v>7113.9374285714275</v>
          </cell>
          <cell r="AG16">
            <v>253.53599999999997</v>
          </cell>
        </row>
        <row r="17">
          <cell r="Y17">
            <v>97183.339999999982</v>
          </cell>
          <cell r="Z17">
            <v>291550</v>
          </cell>
          <cell r="AA17">
            <v>25350.35</v>
          </cell>
          <cell r="AB17">
            <v>0.34</v>
          </cell>
          <cell r="AE17">
            <v>7113.9474285714277</v>
          </cell>
          <cell r="AF17">
            <v>7382.3694285714291</v>
          </cell>
          <cell r="AG17">
            <v>217.66399999999996</v>
          </cell>
        </row>
        <row r="18">
          <cell r="Y18">
            <v>291550.01</v>
          </cell>
          <cell r="AA18">
            <v>91435.02</v>
          </cell>
          <cell r="AB18">
            <v>0.35</v>
          </cell>
          <cell r="AE18">
            <v>7382.3794285714293</v>
          </cell>
          <cell r="AF18" t="str">
            <v xml:space="preserve"> En adelante </v>
          </cell>
          <cell r="AG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45"/>
  <sheetViews>
    <sheetView tabSelected="1" topLeftCell="A4" workbookViewId="0">
      <selection activeCell="N5" sqref="N5"/>
    </sheetView>
  </sheetViews>
  <sheetFormatPr defaultRowHeight="15" x14ac:dyDescent="0.25"/>
  <cols>
    <col min="1" max="1" width="9.140625" style="24"/>
    <col min="2" max="2" width="29.85546875" style="24" bestFit="1" customWidth="1"/>
    <col min="3" max="3" width="9.5703125" style="24" bestFit="1" customWidth="1"/>
    <col min="4" max="4" width="0" style="24" hidden="1" customWidth="1"/>
    <col min="5" max="5" width="29.85546875" style="24" hidden="1" customWidth="1"/>
    <col min="6" max="6" width="9.5703125" style="24" hidden="1" customWidth="1"/>
    <col min="7" max="7" width="0" style="24" hidden="1" customWidth="1"/>
    <col min="8" max="8" width="29.85546875" style="24" hidden="1" customWidth="1"/>
    <col min="9" max="9" width="9.5703125" style="24" hidden="1" customWidth="1"/>
    <col min="10" max="10" width="9.140625" style="24"/>
    <col min="11" max="11" width="15.85546875" style="24" bestFit="1" customWidth="1"/>
    <col min="12" max="12" width="9.140625" style="24"/>
    <col min="13" max="13" width="29.85546875" style="24" bestFit="1" customWidth="1"/>
    <col min="14" max="15" width="9.5703125" style="24" bestFit="1" customWidth="1"/>
    <col min="16" max="16" width="29.85546875" style="24" bestFit="1" customWidth="1"/>
    <col min="17" max="17" width="10.5703125" style="24" bestFit="1" customWidth="1"/>
    <col min="18" max="16384" width="9.140625" style="24"/>
  </cols>
  <sheetData>
    <row r="2" spans="2:17" ht="15.75" thickBot="1" x14ac:dyDescent="0.3">
      <c r="B2" s="25"/>
      <c r="C2" s="25"/>
      <c r="E2"/>
      <c r="F2"/>
      <c r="G2"/>
      <c r="H2"/>
      <c r="I2"/>
    </row>
    <row r="3" spans="2:17" ht="15.75" thickBot="1" x14ac:dyDescent="0.3">
      <c r="B3" s="101" t="s">
        <v>44</v>
      </c>
      <c r="C3" s="102"/>
      <c r="E3"/>
      <c r="F3"/>
      <c r="G3"/>
      <c r="H3"/>
      <c r="I3"/>
      <c r="M3" s="101" t="s">
        <v>45</v>
      </c>
      <c r="N3" s="102"/>
      <c r="P3" s="101" t="s">
        <v>22</v>
      </c>
      <c r="Q3" s="102"/>
    </row>
    <row r="4" spans="2:17" ht="15.75" thickBot="1" x14ac:dyDescent="0.3">
      <c r="B4" s="24" t="s">
        <v>13</v>
      </c>
      <c r="C4" s="27">
        <v>2500</v>
      </c>
      <c r="E4"/>
      <c r="F4"/>
      <c r="G4"/>
      <c r="H4"/>
      <c r="I4"/>
      <c r="M4" s="48" t="s">
        <v>13</v>
      </c>
      <c r="N4" s="47">
        <v>4900</v>
      </c>
      <c r="P4" s="24" t="s">
        <v>13</v>
      </c>
      <c r="Q4" s="38">
        <f>+I4+F4+C4+N4</f>
        <v>7400</v>
      </c>
    </row>
    <row r="5" spans="2:17" x14ac:dyDescent="0.25">
      <c r="B5" s="24" t="s">
        <v>14</v>
      </c>
      <c r="C5" s="30">
        <f>+VLOOKUP(C4,TABLAS!$C$8:$F$18,1)</f>
        <v>2422.7911184210525</v>
      </c>
      <c r="E5"/>
      <c r="F5"/>
      <c r="G5"/>
      <c r="H5"/>
      <c r="I5"/>
      <c r="M5" s="12" t="s">
        <v>14</v>
      </c>
      <c r="N5" s="49">
        <f>+VLOOKUP(N4,TABLAS!$C$8:$F$18,1)</f>
        <v>4257.8338815789475</v>
      </c>
      <c r="P5" s="24" t="s">
        <v>14</v>
      </c>
      <c r="Q5" s="30">
        <f>+VLOOKUP(Q4,[1]TABLAS!$Y$8:$AB$18,1)</f>
        <v>4910.1899999999996</v>
      </c>
    </row>
    <row r="6" spans="2:17" x14ac:dyDescent="0.25">
      <c r="B6" s="24" t="s">
        <v>15</v>
      </c>
      <c r="C6" s="27">
        <f>+C4-C5</f>
        <v>77.208881578947512</v>
      </c>
      <c r="E6"/>
      <c r="F6"/>
      <c r="G6"/>
      <c r="H6"/>
      <c r="I6"/>
      <c r="M6" s="12" t="s">
        <v>15</v>
      </c>
      <c r="N6" s="39">
        <f>+N4-N5</f>
        <v>642.16611842105249</v>
      </c>
      <c r="P6" s="24" t="s">
        <v>15</v>
      </c>
      <c r="Q6" s="27">
        <f>+Q4-Q5</f>
        <v>2489.8100000000004</v>
      </c>
    </row>
    <row r="7" spans="2:17" x14ac:dyDescent="0.25">
      <c r="B7" s="24" t="s">
        <v>16</v>
      </c>
      <c r="C7" s="28">
        <f>+VLOOKUP(C4,TABLAS!$C$8:$F$18,4)</f>
        <v>0.10880000000000001</v>
      </c>
      <c r="E7"/>
      <c r="F7"/>
      <c r="G7"/>
      <c r="H7"/>
      <c r="I7"/>
      <c r="M7" s="12" t="s">
        <v>16</v>
      </c>
      <c r="N7" s="50">
        <f>+VLOOKUP(N4,TABLAS!$C$8:$F$18,4)</f>
        <v>0.16</v>
      </c>
      <c r="P7" s="24" t="s">
        <v>16</v>
      </c>
      <c r="Q7" s="28">
        <f>+VLOOKUP(Q4,[1]TABLAS!$Y$8:$AB$18,4)</f>
        <v>0.10880000000000001</v>
      </c>
    </row>
    <row r="8" spans="2:17" x14ac:dyDescent="0.25">
      <c r="B8" s="24" t="s">
        <v>20</v>
      </c>
      <c r="C8" s="27">
        <f>+C6*C7</f>
        <v>8.4003263157894903</v>
      </c>
      <c r="E8"/>
      <c r="F8"/>
      <c r="G8"/>
      <c r="H8"/>
      <c r="I8"/>
      <c r="M8" s="12" t="s">
        <v>20</v>
      </c>
      <c r="N8" s="39">
        <f>+N6*N7</f>
        <v>102.74657894736841</v>
      </c>
      <c r="P8" s="24" t="s">
        <v>20</v>
      </c>
      <c r="Q8" s="27">
        <f>+Q6*Q7</f>
        <v>270.89132800000004</v>
      </c>
    </row>
    <row r="9" spans="2:17" ht="15.75" thickBot="1" x14ac:dyDescent="0.3">
      <c r="B9" s="24" t="s">
        <v>3</v>
      </c>
      <c r="C9" s="31">
        <f>+VLOOKUP(C4,TABLAS!$C$8:$F$18,3)</f>
        <v>142.26809210526315</v>
      </c>
      <c r="E9"/>
      <c r="F9"/>
      <c r="G9"/>
      <c r="H9"/>
      <c r="I9"/>
      <c r="M9" s="12" t="s">
        <v>3</v>
      </c>
      <c r="N9" s="39">
        <f>+VLOOKUP(N4,TABLAS!$C$8:$F$18,3)</f>
        <v>341.92105263157896</v>
      </c>
      <c r="P9" s="24" t="s">
        <v>3</v>
      </c>
      <c r="Q9" s="31">
        <f>+VLOOKUP(Q4,[1]TABLAS!$Y$8:$AB$18,3)</f>
        <v>288.33</v>
      </c>
    </row>
    <row r="10" spans="2:17" ht="15.75" thickBot="1" x14ac:dyDescent="0.3">
      <c r="B10" s="24" t="s">
        <v>17</v>
      </c>
      <c r="C10" s="32">
        <f>IFERROR((C8+C9),0)</f>
        <v>150.66841842105265</v>
      </c>
      <c r="E10"/>
      <c r="F10"/>
      <c r="G10"/>
      <c r="H10"/>
      <c r="I10"/>
      <c r="K10" s="37" t="s">
        <v>42</v>
      </c>
      <c r="L10" s="40">
        <f>+C10+F10+I10</f>
        <v>150.66841842105265</v>
      </c>
      <c r="M10" s="21" t="s">
        <v>17</v>
      </c>
      <c r="N10" s="51">
        <f>IFERROR((N8+N9),0)</f>
        <v>444.66763157894735</v>
      </c>
      <c r="P10" s="24" t="s">
        <v>17</v>
      </c>
      <c r="Q10" s="32">
        <f>+Q8+Q9</f>
        <v>559.22132800000009</v>
      </c>
    </row>
    <row r="11" spans="2:17" ht="15.75" thickBot="1" x14ac:dyDescent="0.3">
      <c r="B11" s="24" t="s">
        <v>18</v>
      </c>
      <c r="C11" s="33">
        <f>IFERROR(VLOOKUP(C4,TABLAS!$I$8:$K$18,3),0)</f>
        <v>160.35</v>
      </c>
      <c r="E11"/>
      <c r="F11"/>
      <c r="G11"/>
      <c r="H11"/>
      <c r="I11"/>
      <c r="K11" s="37" t="s">
        <v>43</v>
      </c>
      <c r="L11" s="56">
        <f>+I11+F11+C11</f>
        <v>160.35</v>
      </c>
      <c r="M11"/>
      <c r="N11"/>
      <c r="P11" s="24" t="s">
        <v>18</v>
      </c>
      <c r="Q11" s="35">
        <f>+VLOOKUP(Q4,[1]TABLAS!$AE$8:$AG$18,3)</f>
        <v>0</v>
      </c>
    </row>
    <row r="12" spans="2:17" ht="15.75" thickBot="1" x14ac:dyDescent="0.3">
      <c r="B12" s="24" t="s">
        <v>38</v>
      </c>
      <c r="C12" s="34">
        <f>+IF(C10-C11&gt;0,C10-C11,0)</f>
        <v>0</v>
      </c>
      <c r="E12"/>
      <c r="F12"/>
      <c r="G12"/>
      <c r="H12"/>
      <c r="I12"/>
      <c r="M12" s="98" t="s">
        <v>65</v>
      </c>
      <c r="N12" s="52">
        <f>+N10</f>
        <v>444.66763157894735</v>
      </c>
      <c r="P12" s="24" t="s">
        <v>19</v>
      </c>
      <c r="Q12" s="34">
        <f>+Q10-Q11</f>
        <v>559.22132800000009</v>
      </c>
    </row>
    <row r="13" spans="2:17" ht="15.75" thickBot="1" x14ac:dyDescent="0.3">
      <c r="B13" s="24" t="s">
        <v>39</v>
      </c>
      <c r="C13" s="54">
        <f>+IF(C10-C11&gt;0,0,-C10+C11)</f>
        <v>9.6815815789473447</v>
      </c>
      <c r="E13"/>
      <c r="F13"/>
      <c r="G13"/>
      <c r="H13"/>
      <c r="I13"/>
      <c r="L13"/>
      <c r="M13" s="99" t="s">
        <v>66</v>
      </c>
      <c r="N13" s="20">
        <f>+IF(Q11-L11&gt;0,Q11-L11,0)</f>
        <v>0</v>
      </c>
    </row>
    <row r="14" spans="2:17" ht="15.75" thickBot="1" x14ac:dyDescent="0.3">
      <c r="E14"/>
      <c r="F14"/>
      <c r="G14"/>
      <c r="H14"/>
      <c r="I14"/>
      <c r="L14"/>
      <c r="M14" s="100" t="s">
        <v>15</v>
      </c>
      <c r="N14" s="40">
        <f>+N12-N13</f>
        <v>444.66763157894735</v>
      </c>
    </row>
    <row r="15" spans="2:17" ht="14.25" customHeight="1" thickBot="1" x14ac:dyDescent="0.3">
      <c r="E15"/>
      <c r="F15"/>
      <c r="G15"/>
      <c r="H15"/>
      <c r="I15"/>
      <c r="J15"/>
      <c r="K15"/>
      <c r="L15"/>
      <c r="M15"/>
      <c r="N15"/>
    </row>
    <row r="16" spans="2:17" ht="15.75" thickBot="1" x14ac:dyDescent="0.3">
      <c r="B16" s="101" t="s">
        <v>21</v>
      </c>
      <c r="C16" s="102"/>
      <c r="E16"/>
      <c r="F16"/>
      <c r="G16"/>
      <c r="H16"/>
      <c r="I16"/>
      <c r="M16" s="103" t="s">
        <v>21</v>
      </c>
      <c r="N16" s="104"/>
      <c r="P16" s="65" t="s">
        <v>46</v>
      </c>
      <c r="Q16" s="62">
        <f>+Q4</f>
        <v>7400</v>
      </c>
    </row>
    <row r="17" spans="1:22" x14ac:dyDescent="0.25">
      <c r="A17" s="83" t="s">
        <v>24</v>
      </c>
      <c r="B17" s="84" t="s">
        <v>23</v>
      </c>
      <c r="C17" s="47">
        <f>+C4</f>
        <v>2500</v>
      </c>
      <c r="D17" s="41" t="s">
        <v>24</v>
      </c>
      <c r="E17"/>
      <c r="F17"/>
      <c r="G17"/>
      <c r="H17"/>
      <c r="I17"/>
      <c r="K17" s="58" t="s">
        <v>41</v>
      </c>
      <c r="L17" s="61" t="s">
        <v>25</v>
      </c>
      <c r="M17" s="42" t="s">
        <v>28</v>
      </c>
      <c r="N17" s="90">
        <f>+IF(N14&gt;0,N14,0)</f>
        <v>444.66763157894735</v>
      </c>
      <c r="O17" s="63">
        <f>+N10+L10</f>
        <v>595.33605</v>
      </c>
      <c r="P17" s="66" t="s">
        <v>47</v>
      </c>
      <c r="Q17" s="67">
        <f>-C12-F12-I12-N17-N18</f>
        <v>-605.01763157894732</v>
      </c>
    </row>
    <row r="18" spans="1:22" ht="15.75" thickBot="1" x14ac:dyDescent="0.3">
      <c r="A18" s="43" t="s">
        <v>25</v>
      </c>
      <c r="B18" s="15" t="s">
        <v>26</v>
      </c>
      <c r="C18" s="44">
        <f>+C13</f>
        <v>9.6815815789473447</v>
      </c>
      <c r="D18" s="43" t="s">
        <v>25</v>
      </c>
      <c r="E18"/>
      <c r="F18"/>
      <c r="G18"/>
      <c r="H18"/>
      <c r="I18"/>
      <c r="K18" s="58" t="s">
        <v>41</v>
      </c>
      <c r="L18" s="12">
        <v>107</v>
      </c>
      <c r="M18" s="15" t="s">
        <v>29</v>
      </c>
      <c r="N18" s="44">
        <f>IF(-Q11+L11&gt;0,-Q11+L11,0)</f>
        <v>160.35</v>
      </c>
      <c r="O18" s="64">
        <f>-Q11</f>
        <v>0</v>
      </c>
      <c r="P18" s="68" t="s">
        <v>48</v>
      </c>
      <c r="Q18" s="69">
        <f>+C13+F13+I13+N19</f>
        <v>9.6815815789473447</v>
      </c>
    </row>
    <row r="19" spans="1:22" ht="15.75" thickBot="1" x14ac:dyDescent="0.3">
      <c r="A19" s="36"/>
      <c r="B19" s="46" t="s">
        <v>27</v>
      </c>
      <c r="C19" s="85">
        <f>+C17-C18</f>
        <v>2490.3184184210527</v>
      </c>
      <c r="D19" s="36"/>
      <c r="E19"/>
      <c r="F19"/>
      <c r="G19"/>
      <c r="H19"/>
      <c r="I19"/>
      <c r="K19" s="24" t="s">
        <v>40</v>
      </c>
      <c r="L19" s="55" t="s">
        <v>25</v>
      </c>
      <c r="M19" s="60" t="s">
        <v>26</v>
      </c>
      <c r="N19" s="92">
        <f>IF(($Q$11-$L$11)&lt;0,IF($N$10-($Q$11-$L$11)&lt;0,$N$10-($Q$11-$L$11),0),-$N$10+($Q$11-$L$11))</f>
        <v>0</v>
      </c>
      <c r="O19" s="75">
        <f>+O17+O18</f>
        <v>595.33605</v>
      </c>
      <c r="P19" s="70" t="s">
        <v>49</v>
      </c>
      <c r="Q19" s="71">
        <f>SUM(Q16:Q18)</f>
        <v>6804.6639500000001</v>
      </c>
    </row>
    <row r="20" spans="1:22" ht="15.75" thickBot="1" x14ac:dyDescent="0.3">
      <c r="E20"/>
      <c r="F20"/>
      <c r="G20"/>
      <c r="H20"/>
      <c r="I20"/>
      <c r="M20" s="105" t="s">
        <v>30</v>
      </c>
      <c r="N20" s="106"/>
      <c r="P20" s="72"/>
    </row>
    <row r="21" spans="1:22" ht="15.75" thickBot="1" x14ac:dyDescent="0.3">
      <c r="B21" s="24" t="s">
        <v>53</v>
      </c>
      <c r="C21" s="29">
        <f>+C13</f>
        <v>9.6815815789473447</v>
      </c>
      <c r="E21"/>
      <c r="F21"/>
      <c r="G21"/>
      <c r="H21"/>
      <c r="I21"/>
      <c r="K21" s="58" t="s">
        <v>41</v>
      </c>
      <c r="L21" s="41" t="s">
        <v>25</v>
      </c>
      <c r="M21" s="42" t="s">
        <v>34</v>
      </c>
      <c r="N21" s="52">
        <f>+IF(N18&gt;-C25,N18+C25,0)</f>
        <v>150.66841842105265</v>
      </c>
      <c r="O21" s="29">
        <f>+N17+N18</f>
        <v>605.01763157894732</v>
      </c>
      <c r="P21" s="73" t="s">
        <v>49</v>
      </c>
      <c r="Q21" s="74">
        <f>+C4+C13-C12+N4-N10-N18+N19</f>
        <v>6804.6639499999992</v>
      </c>
    </row>
    <row r="22" spans="1:22" ht="15.75" thickBot="1" x14ac:dyDescent="0.3">
      <c r="B22" s="24" t="s">
        <v>50</v>
      </c>
      <c r="C22" s="29">
        <f>C12</f>
        <v>0</v>
      </c>
      <c r="K22" s="58" t="s">
        <v>41</v>
      </c>
      <c r="L22" s="43" t="s">
        <v>31</v>
      </c>
      <c r="M22" s="15" t="s">
        <v>35</v>
      </c>
      <c r="N22" s="44">
        <f>+IF(N18&gt;-C25,-C25,N18)</f>
        <v>9.6815815789473447</v>
      </c>
      <c r="O22" s="29">
        <f>-C13</f>
        <v>-9.6815815789473447</v>
      </c>
      <c r="Q22" s="29">
        <f>+Q19-Q21</f>
        <v>0</v>
      </c>
    </row>
    <row r="23" spans="1:22" ht="15.75" thickBot="1" x14ac:dyDescent="0.3">
      <c r="A23" s="29"/>
      <c r="B23" s="73" t="s">
        <v>49</v>
      </c>
      <c r="C23" s="74">
        <f>+C4-C22+C21</f>
        <v>2509.6815815789473</v>
      </c>
      <c r="K23" s="24" t="s">
        <v>40</v>
      </c>
      <c r="L23" s="45" t="s">
        <v>32</v>
      </c>
      <c r="M23" s="15" t="s">
        <v>36</v>
      </c>
      <c r="N23" s="44">
        <f>+N21</f>
        <v>150.66841842105265</v>
      </c>
      <c r="O23" s="75">
        <f>+O21+O22</f>
        <v>595.33605</v>
      </c>
    </row>
    <row r="24" spans="1:22" ht="15.75" thickBot="1" x14ac:dyDescent="0.3">
      <c r="B24"/>
      <c r="C24"/>
      <c r="K24" s="24" t="s">
        <v>40</v>
      </c>
      <c r="L24" s="57" t="s">
        <v>33</v>
      </c>
      <c r="M24" s="22" t="s">
        <v>37</v>
      </c>
      <c r="N24" s="53">
        <f>+N22</f>
        <v>9.6815815789473447</v>
      </c>
    </row>
    <row r="25" spans="1:22" ht="15.75" thickBot="1" x14ac:dyDescent="0.3">
      <c r="B25" s="86" t="s">
        <v>54</v>
      </c>
      <c r="C25" s="75">
        <f>-(C21)</f>
        <v>-9.6815815789473447</v>
      </c>
      <c r="L25" s="101" t="s">
        <v>49</v>
      </c>
      <c r="M25" s="102"/>
      <c r="N25" s="75">
        <f>+N4-N17-N18+N19</f>
        <v>4294.9823684210523</v>
      </c>
      <c r="O25" s="29"/>
    </row>
    <row r="26" spans="1:22" x14ac:dyDescent="0.25">
      <c r="B26" s="87" t="s">
        <v>55</v>
      </c>
      <c r="C26" s="88">
        <f>+C22</f>
        <v>0</v>
      </c>
      <c r="L26"/>
      <c r="M26" s="76" t="s">
        <v>50</v>
      </c>
      <c r="N26" s="77">
        <f>N17+C26</f>
        <v>444.66763157894735</v>
      </c>
      <c r="O26" s="78"/>
      <c r="Q26" s="93">
        <f>+C26+N17</f>
        <v>444.66763157894735</v>
      </c>
      <c r="R26" s="42" t="s">
        <v>59</v>
      </c>
      <c r="S26" s="42"/>
      <c r="T26" s="42"/>
      <c r="U26" s="42"/>
      <c r="V26" s="94"/>
    </row>
    <row r="27" spans="1:22" x14ac:dyDescent="0.25">
      <c r="L27"/>
      <c r="M27" s="79" t="s">
        <v>51</v>
      </c>
      <c r="N27" s="80">
        <f>+C25-N19+N18</f>
        <v>150.66841842105265</v>
      </c>
      <c r="O27"/>
      <c r="Q27" s="95">
        <f>C25+N18-N19</f>
        <v>150.66841842105265</v>
      </c>
      <c r="R27" s="15" t="s">
        <v>60</v>
      </c>
      <c r="S27" s="15"/>
      <c r="T27" s="15"/>
      <c r="U27" s="15"/>
      <c r="V27" s="20"/>
    </row>
    <row r="28" spans="1:22" ht="15.75" thickBot="1" x14ac:dyDescent="0.3">
      <c r="L28"/>
      <c r="M28" s="81" t="s">
        <v>52</v>
      </c>
      <c r="N28" s="82">
        <f>SUM(N26:N27)</f>
        <v>595.33605</v>
      </c>
      <c r="O28" s="78"/>
      <c r="Q28" s="96">
        <f>+Q26+Q27</f>
        <v>595.33605</v>
      </c>
      <c r="R28" s="22"/>
      <c r="S28" s="22"/>
      <c r="T28" s="22"/>
      <c r="U28" s="22"/>
      <c r="V28" s="23"/>
    </row>
    <row r="29" spans="1:22" ht="15.75" thickBot="1" x14ac:dyDescent="0.3"/>
    <row r="30" spans="1:22" ht="15.75" thickBot="1" x14ac:dyDescent="0.3">
      <c r="M30" s="103" t="s">
        <v>56</v>
      </c>
      <c r="N30" s="104"/>
      <c r="Q30" s="93">
        <f>+IF(N17-N19&gt;0,((N17-N19)+C26),C26)</f>
        <v>444.66763157894735</v>
      </c>
      <c r="R30" s="42" t="s">
        <v>61</v>
      </c>
      <c r="S30" s="42"/>
      <c r="T30" s="42"/>
      <c r="U30" s="42"/>
      <c r="V30" s="94"/>
    </row>
    <row r="31" spans="1:22" x14ac:dyDescent="0.25">
      <c r="L31" s="41" t="s">
        <v>24</v>
      </c>
      <c r="M31" s="42" t="s">
        <v>23</v>
      </c>
      <c r="N31" s="52">
        <f>+N4</f>
        <v>4900</v>
      </c>
      <c r="O31" s="29">
        <f>+N31-N32-N33</f>
        <v>4294.9823684210523</v>
      </c>
      <c r="Q31" s="97">
        <f>+N21</f>
        <v>150.66841842105265</v>
      </c>
      <c r="R31" s="15" t="s">
        <v>62</v>
      </c>
      <c r="S31" s="15"/>
      <c r="T31" s="15"/>
      <c r="U31" s="15"/>
      <c r="V31" s="20"/>
    </row>
    <row r="32" spans="1:22" x14ac:dyDescent="0.25">
      <c r="K32" s="58" t="s">
        <v>41</v>
      </c>
      <c r="L32" s="45" t="s">
        <v>25</v>
      </c>
      <c r="M32" s="15" t="s">
        <v>28</v>
      </c>
      <c r="N32" s="44">
        <f>+N17</f>
        <v>444.66763157894735</v>
      </c>
      <c r="Q32" s="97">
        <f>IF(N17-N19&lt;0,N17-N19,0)</f>
        <v>0</v>
      </c>
      <c r="R32" s="15" t="s">
        <v>63</v>
      </c>
      <c r="S32" s="15"/>
      <c r="T32" s="15"/>
      <c r="U32" s="15"/>
      <c r="V32" s="20"/>
    </row>
    <row r="33" spans="11:22" x14ac:dyDescent="0.25">
      <c r="K33" s="58" t="s">
        <v>41</v>
      </c>
      <c r="L33" s="12">
        <v>107</v>
      </c>
      <c r="M33" s="15" t="s">
        <v>29</v>
      </c>
      <c r="N33" s="44">
        <f>+N18</f>
        <v>160.35</v>
      </c>
      <c r="Q33" s="95">
        <f>+C25+N24</f>
        <v>0</v>
      </c>
      <c r="R33" s="15" t="s">
        <v>64</v>
      </c>
      <c r="S33" s="15"/>
      <c r="T33" s="15"/>
      <c r="U33" s="15"/>
      <c r="V33" s="20"/>
    </row>
    <row r="34" spans="11:22" ht="15.75" thickBot="1" x14ac:dyDescent="0.3">
      <c r="K34" s="24" t="s">
        <v>40</v>
      </c>
      <c r="L34" s="55" t="s">
        <v>25</v>
      </c>
      <c r="M34" s="60" t="s">
        <v>26</v>
      </c>
      <c r="N34" s="53">
        <f>+N19</f>
        <v>0</v>
      </c>
      <c r="Q34" s="96">
        <f>SUM(Q30:Q33)</f>
        <v>595.33605</v>
      </c>
      <c r="R34" s="22"/>
      <c r="S34" s="22"/>
      <c r="T34" s="22"/>
      <c r="U34" s="22"/>
      <c r="V34" s="23"/>
    </row>
    <row r="35" spans="11:22" ht="15.75" thickBot="1" x14ac:dyDescent="0.3">
      <c r="M35" s="105" t="s">
        <v>30</v>
      </c>
      <c r="N35" s="106"/>
    </row>
    <row r="36" spans="11:22" x14ac:dyDescent="0.25">
      <c r="K36" s="58" t="s">
        <v>41</v>
      </c>
      <c r="L36" s="41" t="s">
        <v>25</v>
      </c>
      <c r="M36" s="42" t="s">
        <v>34</v>
      </c>
      <c r="N36" s="52">
        <f>+N21</f>
        <v>150.66841842105265</v>
      </c>
    </row>
    <row r="37" spans="11:22" x14ac:dyDescent="0.25">
      <c r="K37" s="58" t="s">
        <v>41</v>
      </c>
      <c r="L37" s="43" t="s">
        <v>31</v>
      </c>
      <c r="M37" s="15" t="s">
        <v>35</v>
      </c>
      <c r="N37" s="44">
        <f>+N22</f>
        <v>9.6815815789473447</v>
      </c>
    </row>
    <row r="38" spans="11:22" x14ac:dyDescent="0.25">
      <c r="K38" s="24" t="s">
        <v>40</v>
      </c>
      <c r="L38" s="45" t="s">
        <v>32</v>
      </c>
      <c r="M38" s="15" t="s">
        <v>36</v>
      </c>
      <c r="N38" s="44">
        <f>+N23</f>
        <v>150.66841842105265</v>
      </c>
    </row>
    <row r="39" spans="11:22" ht="15.75" thickBot="1" x14ac:dyDescent="0.3">
      <c r="K39" s="24" t="s">
        <v>40</v>
      </c>
      <c r="L39" s="45" t="s">
        <v>33</v>
      </c>
      <c r="M39" s="15" t="s">
        <v>37</v>
      </c>
      <c r="N39" s="44">
        <f>+N24</f>
        <v>9.6815815789473447</v>
      </c>
    </row>
    <row r="40" spans="11:22" x14ac:dyDescent="0.25">
      <c r="L40" s="89"/>
      <c r="M40" s="59" t="s">
        <v>57</v>
      </c>
      <c r="N40" s="90">
        <f>+IF(N17-N19&gt;0,N17-N19,0)+N36+N37</f>
        <v>605.01763157894732</v>
      </c>
    </row>
    <row r="41" spans="11:22" ht="15.75" thickBot="1" x14ac:dyDescent="0.3">
      <c r="L41" s="91"/>
      <c r="M41" s="60" t="s">
        <v>58</v>
      </c>
      <c r="N41" s="92">
        <f>+IF(N17-N19&lt;0,N17-N19,0)</f>
        <v>0</v>
      </c>
    </row>
    <row r="42" spans="11:22" ht="15.75" thickBot="1" x14ac:dyDescent="0.3">
      <c r="L42" s="107" t="s">
        <v>49</v>
      </c>
      <c r="M42" s="108"/>
      <c r="N42" s="51">
        <f>+N31-N40-N41</f>
        <v>4294.9823684210523</v>
      </c>
    </row>
    <row r="44" spans="11:22" x14ac:dyDescent="0.25">
      <c r="N44" s="29">
        <f>+I23+F23+C23+N42</f>
        <v>6804.6639500000001</v>
      </c>
    </row>
    <row r="45" spans="11:22" x14ac:dyDescent="0.25">
      <c r="N45" s="29">
        <f>+N44-Q21</f>
        <v>0</v>
      </c>
    </row>
  </sheetData>
  <mergeCells count="10">
    <mergeCell ref="M30:N30"/>
    <mergeCell ref="M35:N35"/>
    <mergeCell ref="L42:M42"/>
    <mergeCell ref="L25:M25"/>
    <mergeCell ref="P3:Q3"/>
    <mergeCell ref="B16:C16"/>
    <mergeCell ref="M16:N16"/>
    <mergeCell ref="M20:N20"/>
    <mergeCell ref="B3:C3"/>
    <mergeCell ref="M3:N3"/>
  </mergeCells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6"/>
  <sheetViews>
    <sheetView topLeftCell="R1" workbookViewId="0">
      <selection activeCell="AI16" sqref="AI16"/>
    </sheetView>
  </sheetViews>
  <sheetFormatPr defaultRowHeight="15" x14ac:dyDescent="0.25"/>
  <cols>
    <col min="2" max="2" width="3" bestFit="1" customWidth="1"/>
    <col min="3" max="4" width="11.5703125" bestFit="1" customWidth="1"/>
    <col min="5" max="5" width="10.5703125" bestFit="1" customWidth="1"/>
    <col min="6" max="6" width="13.42578125" bestFit="1" customWidth="1"/>
    <col min="8" max="8" width="3" bestFit="1" customWidth="1"/>
    <col min="9" max="9" width="9.7109375" bestFit="1" customWidth="1"/>
    <col min="10" max="10" width="12.28515625" bestFit="1" customWidth="1"/>
    <col min="11" max="11" width="8" bestFit="1" customWidth="1"/>
    <col min="14" max="15" width="11.5703125" bestFit="1" customWidth="1"/>
    <col min="16" max="16" width="10.5703125" bestFit="1" customWidth="1"/>
    <col min="20" max="20" width="9.7109375" bestFit="1" customWidth="1"/>
    <col min="21" max="21" width="12.28515625" bestFit="1" customWidth="1"/>
    <col min="22" max="22" width="8" bestFit="1" customWidth="1"/>
    <col min="24" max="24" width="3" bestFit="1" customWidth="1"/>
    <col min="25" max="26" width="11.5703125" bestFit="1" customWidth="1"/>
    <col min="27" max="27" width="10.5703125" bestFit="1" customWidth="1"/>
    <col min="28" max="28" width="13.42578125" bestFit="1" customWidth="1"/>
    <col min="30" max="30" width="3" bestFit="1" customWidth="1"/>
    <col min="31" max="31" width="9.7109375" bestFit="1" customWidth="1"/>
    <col min="32" max="32" width="12.28515625" bestFit="1" customWidth="1"/>
    <col min="33" max="33" width="8" bestFit="1" customWidth="1"/>
  </cols>
  <sheetData>
    <row r="1" spans="2:33" ht="15.75" thickBot="1" x14ac:dyDescent="0.3"/>
    <row r="2" spans="2:33" ht="15.75" thickBot="1" x14ac:dyDescent="0.3">
      <c r="B2" s="101" t="s">
        <v>11</v>
      </c>
      <c r="C2" s="109"/>
      <c r="D2" s="109"/>
      <c r="E2" s="109"/>
      <c r="F2" s="109"/>
      <c r="G2" s="109"/>
      <c r="H2" s="109"/>
      <c r="I2" s="109"/>
      <c r="J2" s="109"/>
      <c r="K2" s="102"/>
      <c r="M2" s="101" t="s">
        <v>12</v>
      </c>
      <c r="N2" s="109"/>
      <c r="O2" s="109"/>
      <c r="P2" s="109"/>
      <c r="Q2" s="109"/>
      <c r="R2" s="109"/>
      <c r="S2" s="109"/>
      <c r="T2" s="109"/>
      <c r="U2" s="109"/>
      <c r="V2" s="102"/>
      <c r="X2" s="101" t="s">
        <v>12</v>
      </c>
      <c r="Y2" s="109"/>
      <c r="Z2" s="109"/>
      <c r="AA2" s="109"/>
      <c r="AB2" s="109"/>
      <c r="AC2" s="109"/>
      <c r="AD2" s="109"/>
      <c r="AE2" s="109"/>
      <c r="AF2" s="109"/>
      <c r="AG2" s="102"/>
    </row>
    <row r="3" spans="2:33" x14ac:dyDescent="0.25">
      <c r="B3" s="5" t="s">
        <v>0</v>
      </c>
      <c r="C3" s="8"/>
      <c r="D3" s="8"/>
      <c r="E3" s="9"/>
      <c r="F3" s="10"/>
      <c r="G3" s="10"/>
      <c r="H3" s="1" t="s">
        <v>10</v>
      </c>
      <c r="I3" s="8"/>
      <c r="J3" s="9"/>
      <c r="K3" s="11"/>
      <c r="M3" s="5" t="s">
        <v>0</v>
      </c>
      <c r="N3" s="8"/>
      <c r="O3" s="8"/>
      <c r="P3" s="9"/>
      <c r="Q3" s="10"/>
      <c r="R3" s="10"/>
      <c r="S3" s="1" t="s">
        <v>10</v>
      </c>
      <c r="T3" s="8"/>
      <c r="U3" s="9"/>
      <c r="V3" s="11"/>
      <c r="X3" s="5" t="s">
        <v>0</v>
      </c>
      <c r="Y3" s="8"/>
      <c r="Z3" s="8"/>
      <c r="AA3" s="9"/>
      <c r="AB3" s="10"/>
      <c r="AC3" s="10"/>
      <c r="AD3" s="1" t="s">
        <v>10</v>
      </c>
      <c r="AE3" s="8"/>
      <c r="AF3" s="9"/>
      <c r="AG3" s="11"/>
    </row>
    <row r="4" spans="2:33" x14ac:dyDescent="0.25">
      <c r="B4" s="12"/>
      <c r="C4" s="13"/>
      <c r="D4" s="13"/>
      <c r="E4" s="13"/>
      <c r="F4" s="14"/>
      <c r="G4" s="14"/>
      <c r="H4" s="15"/>
      <c r="I4" s="13"/>
      <c r="J4" s="13"/>
      <c r="K4" s="16"/>
      <c r="M4" s="12"/>
      <c r="N4" s="13"/>
      <c r="O4" s="13"/>
      <c r="P4" s="13"/>
      <c r="Q4" s="14"/>
      <c r="R4" s="14"/>
      <c r="S4" s="15"/>
      <c r="T4" s="13"/>
      <c r="U4" s="13"/>
      <c r="V4" s="16"/>
      <c r="X4" s="12"/>
      <c r="Y4" s="13"/>
      <c r="Z4" s="13"/>
      <c r="AA4" s="13"/>
      <c r="AB4" s="14"/>
      <c r="AC4" s="14"/>
      <c r="AD4" s="15"/>
      <c r="AE4" s="13"/>
      <c r="AF4" s="13"/>
      <c r="AG4" s="16"/>
    </row>
    <row r="5" spans="2:33" x14ac:dyDescent="0.25">
      <c r="B5" s="6"/>
      <c r="C5" s="3" t="s">
        <v>1</v>
      </c>
      <c r="D5" s="3" t="s">
        <v>2</v>
      </c>
      <c r="E5" s="3" t="s">
        <v>3</v>
      </c>
      <c r="F5" s="4" t="s">
        <v>4</v>
      </c>
      <c r="G5" s="4"/>
      <c r="H5" s="2"/>
      <c r="I5" s="3" t="s">
        <v>1</v>
      </c>
      <c r="J5" s="3" t="s">
        <v>2</v>
      </c>
      <c r="K5" s="7" t="s">
        <v>5</v>
      </c>
      <c r="M5" s="6"/>
      <c r="N5" s="3" t="s">
        <v>1</v>
      </c>
      <c r="O5" s="3" t="s">
        <v>2</v>
      </c>
      <c r="P5" s="3" t="s">
        <v>3</v>
      </c>
      <c r="Q5" s="4" t="s">
        <v>4</v>
      </c>
      <c r="R5" s="4"/>
      <c r="S5" s="2"/>
      <c r="T5" s="3" t="s">
        <v>1</v>
      </c>
      <c r="U5" s="3" t="s">
        <v>2</v>
      </c>
      <c r="V5" s="7" t="s">
        <v>5</v>
      </c>
      <c r="X5" s="6"/>
      <c r="Y5" s="3" t="s">
        <v>1</v>
      </c>
      <c r="Z5" s="3" t="s">
        <v>2</v>
      </c>
      <c r="AA5" s="3" t="s">
        <v>3</v>
      </c>
      <c r="AB5" s="4" t="s">
        <v>4</v>
      </c>
      <c r="AC5" s="4"/>
      <c r="AD5" s="2"/>
      <c r="AE5" s="3" t="s">
        <v>1</v>
      </c>
      <c r="AF5" s="3" t="s">
        <v>2</v>
      </c>
      <c r="AG5" s="7" t="s">
        <v>5</v>
      </c>
    </row>
    <row r="6" spans="2:33" x14ac:dyDescent="0.25">
      <c r="B6" s="6"/>
      <c r="C6" s="3" t="s">
        <v>6</v>
      </c>
      <c r="D6" s="3" t="s">
        <v>7</v>
      </c>
      <c r="E6" s="3" t="s">
        <v>8</v>
      </c>
      <c r="F6" s="4"/>
      <c r="G6" s="4"/>
      <c r="H6" s="2"/>
      <c r="I6" s="3" t="s">
        <v>6</v>
      </c>
      <c r="J6" s="3" t="s">
        <v>7</v>
      </c>
      <c r="K6" s="7"/>
      <c r="M6" s="6"/>
      <c r="N6" s="3" t="s">
        <v>6</v>
      </c>
      <c r="O6" s="3" t="s">
        <v>7</v>
      </c>
      <c r="P6" s="3" t="s">
        <v>8</v>
      </c>
      <c r="Q6" s="4"/>
      <c r="R6" s="4"/>
      <c r="S6" s="2"/>
      <c r="T6" s="3" t="s">
        <v>6</v>
      </c>
      <c r="U6" s="3" t="s">
        <v>7</v>
      </c>
      <c r="V6" s="7"/>
      <c r="X6" s="6"/>
      <c r="Y6" s="3" t="s">
        <v>6</v>
      </c>
      <c r="Z6" s="3" t="s">
        <v>7</v>
      </c>
      <c r="AA6" s="3" t="s">
        <v>8</v>
      </c>
      <c r="AB6" s="4"/>
      <c r="AC6" s="4"/>
      <c r="AD6" s="2"/>
      <c r="AE6" s="3" t="s">
        <v>6</v>
      </c>
      <c r="AF6" s="3" t="s">
        <v>7</v>
      </c>
      <c r="AG6" s="7"/>
    </row>
    <row r="7" spans="2:33" x14ac:dyDescent="0.25">
      <c r="B7" s="12"/>
      <c r="C7" s="13"/>
      <c r="D7" s="13"/>
      <c r="E7" s="13"/>
      <c r="F7" s="14"/>
      <c r="G7" s="14"/>
      <c r="H7" s="15"/>
      <c r="I7" s="13"/>
      <c r="J7" s="13"/>
      <c r="K7" s="16"/>
      <c r="M7" s="12"/>
      <c r="N7" s="13"/>
      <c r="O7" s="13"/>
      <c r="P7" s="13"/>
      <c r="Q7" s="14"/>
      <c r="R7" s="14"/>
      <c r="S7" s="15"/>
      <c r="T7" s="13"/>
      <c r="U7" s="13"/>
      <c r="V7" s="16"/>
      <c r="X7" s="12"/>
      <c r="Y7" s="13"/>
      <c r="Z7" s="13"/>
      <c r="AA7" s="13"/>
      <c r="AB7" s="14"/>
      <c r="AC7" s="14"/>
      <c r="AD7" s="15"/>
      <c r="AE7" s="13"/>
      <c r="AF7" s="13"/>
      <c r="AG7" s="16"/>
    </row>
    <row r="8" spans="2:33" x14ac:dyDescent="0.25">
      <c r="B8" s="12">
        <v>1</v>
      </c>
      <c r="C8" s="17">
        <v>0.01</v>
      </c>
      <c r="D8" s="17">
        <v>285.44888157894735</v>
      </c>
      <c r="E8" s="17">
        <v>0</v>
      </c>
      <c r="F8" s="18">
        <v>1.9199999999999998E-2</v>
      </c>
      <c r="G8" s="13"/>
      <c r="H8" s="15">
        <v>1</v>
      </c>
      <c r="I8" s="17">
        <v>0.01</v>
      </c>
      <c r="J8" s="17">
        <v>872.86142857142852</v>
      </c>
      <c r="K8" s="19">
        <v>200.85000000000002</v>
      </c>
      <c r="M8" s="12">
        <v>1</v>
      </c>
      <c r="N8" s="17">
        <v>0.01</v>
      </c>
      <c r="O8" s="17">
        <v>578.52</v>
      </c>
      <c r="P8" s="17">
        <v>0</v>
      </c>
      <c r="Q8" s="18">
        <v>1.9199999999999998E-2</v>
      </c>
      <c r="R8" s="13"/>
      <c r="S8" s="15">
        <v>1</v>
      </c>
      <c r="T8" s="17">
        <v>0.01</v>
      </c>
      <c r="U8" s="17">
        <v>1769.0094285714283</v>
      </c>
      <c r="V8" s="19">
        <v>407.05600000000004</v>
      </c>
      <c r="X8" s="12">
        <v>1</v>
      </c>
      <c r="Y8" s="17">
        <v>0.01</v>
      </c>
      <c r="Z8" s="17">
        <v>578.52</v>
      </c>
      <c r="AA8" s="17">
        <v>0</v>
      </c>
      <c r="AB8" s="18">
        <v>1.9199999999999998E-2</v>
      </c>
      <c r="AC8" s="13"/>
      <c r="AD8" s="15">
        <v>1</v>
      </c>
      <c r="AE8" s="17">
        <v>0.01</v>
      </c>
      <c r="AF8" s="17">
        <v>1769.0094285714283</v>
      </c>
      <c r="AG8" s="19">
        <v>407.05600000000004</v>
      </c>
    </row>
    <row r="9" spans="2:33" x14ac:dyDescent="0.25">
      <c r="B9" s="12">
        <v>2</v>
      </c>
      <c r="C9" s="17">
        <v>285.45888157894734</v>
      </c>
      <c r="D9" s="17">
        <v>2422.7811184210523</v>
      </c>
      <c r="E9" s="17">
        <v>5.4819078947368416</v>
      </c>
      <c r="F9" s="18">
        <v>6.4000000000000001E-2</v>
      </c>
      <c r="G9" s="13"/>
      <c r="H9" s="15">
        <v>2</v>
      </c>
      <c r="I9" s="17">
        <v>872.87142857142851</v>
      </c>
      <c r="J9" s="17">
        <v>1309.2114285714288</v>
      </c>
      <c r="K9" s="19">
        <v>200.7</v>
      </c>
      <c r="M9" s="12">
        <v>2</v>
      </c>
      <c r="N9" s="17">
        <v>578.53</v>
      </c>
      <c r="O9" s="17">
        <v>4910.1799999999994</v>
      </c>
      <c r="P9" s="17">
        <v>11.11</v>
      </c>
      <c r="Q9" s="18">
        <v>6.4000000000000001E-2</v>
      </c>
      <c r="R9" s="13"/>
      <c r="S9" s="15">
        <v>2</v>
      </c>
      <c r="T9" s="17">
        <v>1769.0194285714283</v>
      </c>
      <c r="U9" s="17">
        <v>2653.3454285714283</v>
      </c>
      <c r="V9" s="19">
        <v>406.75199999999995</v>
      </c>
      <c r="X9" s="12">
        <v>2</v>
      </c>
      <c r="Y9" s="17">
        <v>578.53</v>
      </c>
      <c r="Z9" s="17">
        <v>4910.1799999999994</v>
      </c>
      <c r="AA9" s="17">
        <v>11.11</v>
      </c>
      <c r="AB9" s="18">
        <v>6.4000000000000001E-2</v>
      </c>
      <c r="AC9" s="13"/>
      <c r="AD9" s="15">
        <v>2</v>
      </c>
      <c r="AE9" s="17">
        <v>1769.0194285714283</v>
      </c>
      <c r="AF9" s="17">
        <v>2653.3454285714283</v>
      </c>
      <c r="AG9" s="19">
        <v>406.75199999999995</v>
      </c>
    </row>
    <row r="10" spans="2:33" x14ac:dyDescent="0.25">
      <c r="B10" s="12">
        <v>3</v>
      </c>
      <c r="C10" s="17">
        <v>2422.7911184210525</v>
      </c>
      <c r="D10" s="17">
        <v>4257.8238815789473</v>
      </c>
      <c r="E10" s="17">
        <v>142.26809210526315</v>
      </c>
      <c r="F10" s="18">
        <v>0.10880000000000001</v>
      </c>
      <c r="G10" s="13"/>
      <c r="H10" s="15">
        <v>3</v>
      </c>
      <c r="I10" s="17">
        <v>1309.2214285714288</v>
      </c>
      <c r="J10" s="17">
        <v>1713.6114285714289</v>
      </c>
      <c r="K10" s="19">
        <v>200.7</v>
      </c>
      <c r="M10" s="12">
        <v>3</v>
      </c>
      <c r="N10" s="17">
        <v>4910.1899999999996</v>
      </c>
      <c r="O10" s="17">
        <v>8629.1999999999989</v>
      </c>
      <c r="P10" s="17">
        <v>288.33</v>
      </c>
      <c r="Q10" s="18">
        <v>0.10880000000000001</v>
      </c>
      <c r="R10" s="13"/>
      <c r="S10" s="15">
        <v>3</v>
      </c>
      <c r="T10" s="17">
        <v>2653.3554285714285</v>
      </c>
      <c r="U10" s="17">
        <v>3472.9294285714286</v>
      </c>
      <c r="V10" s="19">
        <v>406.75199999999995</v>
      </c>
      <c r="X10" s="12">
        <v>3</v>
      </c>
      <c r="Y10" s="17">
        <v>4910.1899999999996</v>
      </c>
      <c r="Z10" s="17">
        <v>8629.1999999999989</v>
      </c>
      <c r="AA10" s="17">
        <v>288.33</v>
      </c>
      <c r="AB10" s="18">
        <v>0.10880000000000001</v>
      </c>
      <c r="AC10" s="13"/>
      <c r="AD10" s="15">
        <v>3</v>
      </c>
      <c r="AE10" s="17">
        <v>2653.3554285714285</v>
      </c>
      <c r="AF10" s="17">
        <v>3472.9294285714286</v>
      </c>
      <c r="AG10" s="19">
        <v>406.75199999999995</v>
      </c>
    </row>
    <row r="11" spans="2:33" x14ac:dyDescent="0.25">
      <c r="B11" s="12">
        <v>4</v>
      </c>
      <c r="C11" s="17">
        <v>4257.8338815789475</v>
      </c>
      <c r="D11" s="17">
        <v>4949.5360526315781</v>
      </c>
      <c r="E11" s="17">
        <v>341.92105263157896</v>
      </c>
      <c r="F11" s="18">
        <v>0.16</v>
      </c>
      <c r="G11" s="13"/>
      <c r="H11" s="15">
        <v>4</v>
      </c>
      <c r="I11" s="17">
        <v>1713.6214285714289</v>
      </c>
      <c r="J11" s="17">
        <v>1745.7114285714285</v>
      </c>
      <c r="K11" s="19">
        <v>193.8</v>
      </c>
      <c r="M11" s="12">
        <v>4</v>
      </c>
      <c r="N11" s="17">
        <v>8629.2099999999991</v>
      </c>
      <c r="O11" s="17">
        <v>10031.069999999998</v>
      </c>
      <c r="P11" s="17">
        <v>692.95999999999992</v>
      </c>
      <c r="Q11" s="18">
        <v>0.16</v>
      </c>
      <c r="R11" s="13"/>
      <c r="S11" s="15">
        <v>4</v>
      </c>
      <c r="T11" s="17">
        <v>3472.9394285714288</v>
      </c>
      <c r="U11" s="17">
        <v>3537.9854285714282</v>
      </c>
      <c r="V11" s="19">
        <v>392.76799999999997</v>
      </c>
      <c r="X11" s="12">
        <v>4</v>
      </c>
      <c r="Y11" s="17">
        <v>8629.2099999999991</v>
      </c>
      <c r="Z11" s="17">
        <v>10031.069999999998</v>
      </c>
      <c r="AA11" s="17">
        <v>692.95999999999992</v>
      </c>
      <c r="AB11" s="18">
        <v>0.16</v>
      </c>
      <c r="AC11" s="13"/>
      <c r="AD11" s="15">
        <v>4</v>
      </c>
      <c r="AE11" s="17">
        <v>3472.9394285714288</v>
      </c>
      <c r="AF11" s="17">
        <v>3537.9854285714282</v>
      </c>
      <c r="AG11" s="19">
        <v>392.76799999999997</v>
      </c>
    </row>
    <row r="12" spans="2:33" x14ac:dyDescent="0.25">
      <c r="B12" s="12">
        <v>5</v>
      </c>
      <c r="C12" s="17">
        <v>4949.5460526315783</v>
      </c>
      <c r="D12" s="17">
        <v>5925.9521710526315</v>
      </c>
      <c r="E12" s="17">
        <v>452.59539473684214</v>
      </c>
      <c r="F12" s="18">
        <v>0.17920000000000003</v>
      </c>
      <c r="G12" s="13"/>
      <c r="H12" s="15">
        <v>5</v>
      </c>
      <c r="I12" s="17">
        <v>1745.7214285714285</v>
      </c>
      <c r="J12" s="17">
        <v>2193.761428571428</v>
      </c>
      <c r="K12" s="19">
        <v>188.7</v>
      </c>
      <c r="M12" s="12">
        <v>5</v>
      </c>
      <c r="N12" s="17">
        <v>10031.079999999998</v>
      </c>
      <c r="O12" s="17">
        <v>12009.94</v>
      </c>
      <c r="P12" s="17">
        <v>917.26</v>
      </c>
      <c r="Q12" s="18">
        <v>0.17920000000000003</v>
      </c>
      <c r="R12" s="13"/>
      <c r="S12" s="15">
        <v>5</v>
      </c>
      <c r="T12" s="17">
        <v>3537.9954285714284</v>
      </c>
      <c r="U12" s="17">
        <v>4446.033428571428</v>
      </c>
      <c r="V12" s="19">
        <v>382.43199999999996</v>
      </c>
      <c r="X12" s="12">
        <v>5</v>
      </c>
      <c r="Y12" s="17">
        <v>10031.079999999998</v>
      </c>
      <c r="Z12" s="17">
        <v>12009.94</v>
      </c>
      <c r="AA12" s="17">
        <v>917.26</v>
      </c>
      <c r="AB12" s="18">
        <v>0.17920000000000003</v>
      </c>
      <c r="AC12" s="13"/>
      <c r="AD12" s="15">
        <v>5</v>
      </c>
      <c r="AE12" s="17">
        <v>3537.9954285714284</v>
      </c>
      <c r="AF12" s="17">
        <v>4446.033428571428</v>
      </c>
      <c r="AG12" s="19">
        <v>382.43199999999996</v>
      </c>
    </row>
    <row r="13" spans="2:33" x14ac:dyDescent="0.25">
      <c r="B13" s="12">
        <v>6</v>
      </c>
      <c r="C13" s="17">
        <v>5925.9621710526317</v>
      </c>
      <c r="D13" s="17">
        <v>11951.792631578948</v>
      </c>
      <c r="E13" s="17">
        <v>627.56743421052647</v>
      </c>
      <c r="F13" s="18">
        <v>0.21359999999999998</v>
      </c>
      <c r="G13" s="13"/>
      <c r="H13" s="15">
        <v>6</v>
      </c>
      <c r="I13" s="17">
        <v>2193.7714285714283</v>
      </c>
      <c r="J13" s="17">
        <v>2327.5614285714282</v>
      </c>
      <c r="K13" s="19">
        <v>174.75</v>
      </c>
      <c r="M13" s="12">
        <v>6</v>
      </c>
      <c r="N13" s="17">
        <v>12009.95</v>
      </c>
      <c r="O13" s="17">
        <v>24222.31</v>
      </c>
      <c r="P13" s="17">
        <v>1271.8700000000001</v>
      </c>
      <c r="Q13" s="18">
        <v>0.21359999999999998</v>
      </c>
      <c r="R13" s="13"/>
      <c r="S13" s="15">
        <v>6</v>
      </c>
      <c r="T13" s="17">
        <v>4446.0434285714282</v>
      </c>
      <c r="U13" s="17">
        <v>4717.2014285714276</v>
      </c>
      <c r="V13" s="19">
        <v>354.15999999999997</v>
      </c>
      <c r="X13" s="12">
        <v>6</v>
      </c>
      <c r="Y13" s="17">
        <v>12009.95</v>
      </c>
      <c r="Z13" s="17">
        <v>24222.31</v>
      </c>
      <c r="AA13" s="17">
        <v>1271.8700000000001</v>
      </c>
      <c r="AB13" s="18">
        <v>0.21359999999999998</v>
      </c>
      <c r="AC13" s="13"/>
      <c r="AD13" s="15">
        <v>6</v>
      </c>
      <c r="AE13" s="17">
        <v>4446.0434285714282</v>
      </c>
      <c r="AF13" s="17">
        <v>4717.2014285714276</v>
      </c>
      <c r="AG13" s="19">
        <v>354.15999999999997</v>
      </c>
    </row>
    <row r="14" spans="2:33" x14ac:dyDescent="0.25">
      <c r="B14" s="12">
        <v>7</v>
      </c>
      <c r="C14" s="17">
        <v>11951.802631578948</v>
      </c>
      <c r="D14" s="17">
        <v>18837.670921052631</v>
      </c>
      <c r="E14" s="17">
        <v>1914.6907894736844</v>
      </c>
      <c r="F14" s="18">
        <v>0.23519999999999999</v>
      </c>
      <c r="G14" s="13"/>
      <c r="H14" s="15">
        <v>7</v>
      </c>
      <c r="I14" s="17">
        <v>2327.5714285714284</v>
      </c>
      <c r="J14" s="17">
        <v>2632.6614285714281</v>
      </c>
      <c r="K14" s="19">
        <v>160.35</v>
      </c>
      <c r="M14" s="12">
        <v>7</v>
      </c>
      <c r="N14" s="17">
        <v>24222.32</v>
      </c>
      <c r="O14" s="17">
        <v>38177.689999999995</v>
      </c>
      <c r="P14" s="17">
        <v>3880.44</v>
      </c>
      <c r="Q14" s="18">
        <v>0.23519999999999999</v>
      </c>
      <c r="R14" s="13"/>
      <c r="S14" s="15">
        <v>7</v>
      </c>
      <c r="T14" s="17">
        <v>4717.2114285714279</v>
      </c>
      <c r="U14" s="17">
        <v>5335.5374285714279</v>
      </c>
      <c r="V14" s="19">
        <v>324.97599999999994</v>
      </c>
      <c r="X14" s="12">
        <v>7</v>
      </c>
      <c r="Y14" s="17">
        <v>24222.32</v>
      </c>
      <c r="Z14" s="17">
        <v>38177.689999999995</v>
      </c>
      <c r="AA14" s="17">
        <v>3880.44</v>
      </c>
      <c r="AB14" s="18">
        <v>0.23519999999999999</v>
      </c>
      <c r="AC14" s="13"/>
      <c r="AD14" s="15">
        <v>7</v>
      </c>
      <c r="AE14" s="17">
        <v>4717.2114285714279</v>
      </c>
      <c r="AF14" s="17">
        <v>5335.5374285714279</v>
      </c>
      <c r="AG14" s="19">
        <v>324.97599999999994</v>
      </c>
    </row>
    <row r="15" spans="2:33" x14ac:dyDescent="0.25">
      <c r="B15" s="12">
        <v>8</v>
      </c>
      <c r="C15" s="17">
        <v>18837.68092105263</v>
      </c>
      <c r="D15" s="17">
        <v>35964.221907894738</v>
      </c>
      <c r="E15" s="17">
        <v>3534.2467105263154</v>
      </c>
      <c r="F15" s="18">
        <v>0.3</v>
      </c>
      <c r="G15" s="13"/>
      <c r="H15" s="15">
        <v>8</v>
      </c>
      <c r="I15" s="17">
        <v>2632.6714285714284</v>
      </c>
      <c r="J15" s="17">
        <v>3071.4114285714281</v>
      </c>
      <c r="K15" s="19">
        <v>145.35</v>
      </c>
      <c r="M15" s="12">
        <v>8</v>
      </c>
      <c r="N15" s="17">
        <v>38177.699999999997</v>
      </c>
      <c r="O15" s="17">
        <v>72887.5</v>
      </c>
      <c r="P15" s="17">
        <v>7162.7399999999989</v>
      </c>
      <c r="Q15" s="18">
        <v>0.3</v>
      </c>
      <c r="R15" s="13"/>
      <c r="S15" s="15">
        <v>8</v>
      </c>
      <c r="T15" s="17">
        <v>5335.5474285714281</v>
      </c>
      <c r="U15" s="17">
        <v>6224.7374285714277</v>
      </c>
      <c r="V15" s="19">
        <v>294.57599999999996</v>
      </c>
      <c r="X15" s="12">
        <v>8</v>
      </c>
      <c r="Y15" s="17">
        <v>38177.699999999997</v>
      </c>
      <c r="Z15" s="17">
        <v>72887.5</v>
      </c>
      <c r="AA15" s="17">
        <v>7162.7399999999989</v>
      </c>
      <c r="AB15" s="18">
        <v>0.3</v>
      </c>
      <c r="AC15" s="13"/>
      <c r="AD15" s="15">
        <v>8</v>
      </c>
      <c r="AE15" s="17">
        <v>5335.5474285714281</v>
      </c>
      <c r="AF15" s="17">
        <v>6224.7374285714277</v>
      </c>
      <c r="AG15" s="19">
        <v>294.57599999999996</v>
      </c>
    </row>
    <row r="16" spans="2:33" x14ac:dyDescent="0.25">
      <c r="B16" s="12">
        <v>9</v>
      </c>
      <c r="C16" s="17">
        <v>35964.23190789474</v>
      </c>
      <c r="D16" s="17">
        <v>47952.295921052624</v>
      </c>
      <c r="E16" s="17">
        <v>8672.2154605263167</v>
      </c>
      <c r="F16" s="18">
        <v>0.32</v>
      </c>
      <c r="G16" s="13"/>
      <c r="H16" s="15">
        <v>9</v>
      </c>
      <c r="I16" s="17">
        <v>3071.4214285714284</v>
      </c>
      <c r="J16" s="17">
        <v>3510.1614285714281</v>
      </c>
      <c r="K16" s="19">
        <v>125.1</v>
      </c>
      <c r="M16" s="12">
        <v>9</v>
      </c>
      <c r="N16" s="17">
        <v>72887.509999999995</v>
      </c>
      <c r="O16" s="17">
        <v>97183.329999999987</v>
      </c>
      <c r="P16" s="17">
        <v>17575.689999999999</v>
      </c>
      <c r="Q16" s="18">
        <v>0.32</v>
      </c>
      <c r="R16" s="13"/>
      <c r="S16" s="15">
        <v>9</v>
      </c>
      <c r="T16" s="17">
        <v>6224.7474285714279</v>
      </c>
      <c r="U16" s="17">
        <v>7113.9374285714275</v>
      </c>
      <c r="V16" s="19">
        <v>253.53599999999997</v>
      </c>
      <c r="X16" s="12">
        <v>9</v>
      </c>
      <c r="Y16" s="17">
        <v>72887.509999999995</v>
      </c>
      <c r="Z16" s="17">
        <v>97183.329999999987</v>
      </c>
      <c r="AA16" s="17">
        <v>17575.689999999999</v>
      </c>
      <c r="AB16" s="18">
        <v>0.32</v>
      </c>
      <c r="AC16" s="13"/>
      <c r="AD16" s="15">
        <v>9</v>
      </c>
      <c r="AE16" s="17">
        <v>6224.7474285714279</v>
      </c>
      <c r="AF16" s="17">
        <v>7113.9374285714275</v>
      </c>
      <c r="AG16" s="19">
        <v>253.53599999999997</v>
      </c>
    </row>
    <row r="17" spans="2:33" x14ac:dyDescent="0.25">
      <c r="B17" s="12">
        <v>10</v>
      </c>
      <c r="C17" s="17">
        <v>47952.305921052626</v>
      </c>
      <c r="D17" s="17">
        <v>143856.90282894735</v>
      </c>
      <c r="E17" s="17">
        <v>12508.396381578947</v>
      </c>
      <c r="F17" s="18">
        <v>0.34</v>
      </c>
      <c r="G17" s="13"/>
      <c r="H17" s="15">
        <v>10</v>
      </c>
      <c r="I17" s="17">
        <v>3510.1714285714284</v>
      </c>
      <c r="J17" s="17">
        <v>3642.6114285714289</v>
      </c>
      <c r="K17" s="19">
        <v>107.39999999999999</v>
      </c>
      <c r="M17" s="12">
        <v>10</v>
      </c>
      <c r="N17" s="17">
        <v>97183.339999999982</v>
      </c>
      <c r="O17" s="17">
        <v>291550</v>
      </c>
      <c r="P17" s="17">
        <v>25350.35</v>
      </c>
      <c r="Q17" s="18">
        <v>0.34</v>
      </c>
      <c r="R17" s="13"/>
      <c r="S17" s="15">
        <v>10</v>
      </c>
      <c r="T17" s="17">
        <v>7113.9474285714277</v>
      </c>
      <c r="U17" s="17">
        <v>7382.3694285714291</v>
      </c>
      <c r="V17" s="19">
        <v>217.66399999999996</v>
      </c>
      <c r="X17" s="12">
        <v>10</v>
      </c>
      <c r="Y17" s="17">
        <v>97183.339999999982</v>
      </c>
      <c r="Z17" s="17">
        <v>291550</v>
      </c>
      <c r="AA17" s="17">
        <v>25350.35</v>
      </c>
      <c r="AB17" s="18">
        <v>0.34</v>
      </c>
      <c r="AC17" s="13"/>
      <c r="AD17" s="15">
        <v>10</v>
      </c>
      <c r="AE17" s="17">
        <v>7113.9474285714277</v>
      </c>
      <c r="AF17" s="17">
        <v>7382.3694285714291</v>
      </c>
      <c r="AG17" s="19">
        <v>217.66399999999996</v>
      </c>
    </row>
    <row r="18" spans="2:33" x14ac:dyDescent="0.25">
      <c r="B18" s="12">
        <v>11</v>
      </c>
      <c r="C18" s="17">
        <v>143856.91282894736</v>
      </c>
      <c r="D18" s="17"/>
      <c r="E18" s="17">
        <v>45115.963815789481</v>
      </c>
      <c r="F18" s="18">
        <v>0.35</v>
      </c>
      <c r="G18" s="14"/>
      <c r="H18" s="15">
        <v>11</v>
      </c>
      <c r="I18" s="17">
        <v>3642.6214285714291</v>
      </c>
      <c r="J18" s="15" t="s">
        <v>9</v>
      </c>
      <c r="K18" s="19">
        <v>0</v>
      </c>
      <c r="M18" s="12">
        <v>11</v>
      </c>
      <c r="N18" s="17">
        <v>291550.01</v>
      </c>
      <c r="O18" s="17"/>
      <c r="P18" s="17">
        <v>91435.02</v>
      </c>
      <c r="Q18" s="18">
        <v>0.35</v>
      </c>
      <c r="R18" s="14"/>
      <c r="S18" s="15">
        <v>11</v>
      </c>
      <c r="T18" s="17">
        <v>7382.3794285714293</v>
      </c>
      <c r="U18" s="15" t="s">
        <v>9</v>
      </c>
      <c r="V18" s="19">
        <v>0</v>
      </c>
      <c r="X18" s="12">
        <v>11</v>
      </c>
      <c r="Y18" s="17">
        <v>291550.01</v>
      </c>
      <c r="Z18" s="17"/>
      <c r="AA18" s="17">
        <v>91435.02</v>
      </c>
      <c r="AB18" s="18">
        <v>0.35</v>
      </c>
      <c r="AC18" s="14"/>
      <c r="AD18" s="15">
        <v>11</v>
      </c>
      <c r="AE18" s="17">
        <v>7382.3794285714293</v>
      </c>
      <c r="AF18" s="15" t="s">
        <v>9</v>
      </c>
      <c r="AG18" s="19">
        <v>0</v>
      </c>
    </row>
    <row r="19" spans="2:33" x14ac:dyDescent="0.25">
      <c r="B19" s="12"/>
      <c r="C19" s="15"/>
      <c r="D19" s="15"/>
      <c r="E19" s="15"/>
      <c r="F19" s="15"/>
      <c r="G19" s="15"/>
      <c r="H19" s="15"/>
      <c r="I19" s="15"/>
      <c r="J19" s="15"/>
      <c r="K19" s="20"/>
      <c r="M19" s="12"/>
      <c r="N19" s="15"/>
      <c r="O19" s="15"/>
      <c r="P19" s="15"/>
      <c r="Q19" s="15"/>
      <c r="R19" s="15"/>
      <c r="S19" s="15"/>
      <c r="T19" s="15"/>
      <c r="U19" s="15"/>
      <c r="V19" s="20"/>
      <c r="X19" s="12"/>
      <c r="Y19" s="15"/>
      <c r="Z19" s="15"/>
      <c r="AA19" s="15"/>
      <c r="AB19" s="15"/>
      <c r="AC19" s="15"/>
      <c r="AD19" s="15"/>
      <c r="AE19" s="15"/>
      <c r="AF19" s="15"/>
      <c r="AG19" s="20"/>
    </row>
    <row r="20" spans="2:33" x14ac:dyDescent="0.25">
      <c r="B20" s="12"/>
      <c r="C20" s="15"/>
      <c r="D20" s="15"/>
      <c r="E20" s="15"/>
      <c r="F20" s="15"/>
      <c r="G20" s="15"/>
      <c r="H20" s="15"/>
      <c r="I20" s="15"/>
      <c r="J20" s="15"/>
      <c r="K20" s="20"/>
      <c r="M20" s="12"/>
      <c r="N20" s="15"/>
      <c r="O20" s="15"/>
      <c r="P20" s="15"/>
      <c r="Q20" s="15"/>
      <c r="R20" s="15"/>
      <c r="S20" s="15"/>
      <c r="T20" s="15"/>
      <c r="U20" s="15"/>
      <c r="V20" s="20"/>
      <c r="X20" s="12"/>
      <c r="Y20" s="15"/>
      <c r="Z20" s="15"/>
      <c r="AA20" s="15"/>
      <c r="AB20" s="15"/>
      <c r="AC20" s="15"/>
      <c r="AD20" s="15"/>
      <c r="AE20" s="15"/>
      <c r="AF20" s="15"/>
      <c r="AG20" s="20"/>
    </row>
    <row r="21" spans="2:33" ht="15.75" thickBot="1" x14ac:dyDescent="0.3">
      <c r="B21" s="21"/>
      <c r="C21" s="22"/>
      <c r="D21" s="22"/>
      <c r="E21" s="22"/>
      <c r="F21" s="22"/>
      <c r="G21" s="22"/>
      <c r="H21" s="22"/>
      <c r="I21" s="22"/>
      <c r="J21" s="22"/>
      <c r="K21" s="23"/>
      <c r="M21" s="21"/>
      <c r="N21" s="22"/>
      <c r="O21" s="22"/>
      <c r="P21" s="22"/>
      <c r="Q21" s="22"/>
      <c r="R21" s="22"/>
      <c r="S21" s="22"/>
      <c r="T21" s="22"/>
      <c r="U21" s="22"/>
      <c r="V21" s="23"/>
      <c r="X21" s="21"/>
      <c r="Y21" s="22"/>
      <c r="Z21" s="22"/>
      <c r="AA21" s="22"/>
      <c r="AB21" s="22"/>
      <c r="AC21" s="22"/>
      <c r="AD21" s="22"/>
      <c r="AE21" s="22"/>
      <c r="AF21" s="22"/>
      <c r="AG21" s="23"/>
    </row>
    <row r="24" spans="2:33" x14ac:dyDescent="0.25">
      <c r="D24" s="26"/>
    </row>
    <row r="25" spans="2:33" x14ac:dyDescent="0.25">
      <c r="J25">
        <v>862</v>
      </c>
    </row>
    <row r="26" spans="2:33" x14ac:dyDescent="0.25">
      <c r="J26">
        <f>+VLOOKUP(J25,I8:K18,3)</f>
        <v>200.85000000000002</v>
      </c>
    </row>
  </sheetData>
  <mergeCells count="3">
    <mergeCell ref="B2:K2"/>
    <mergeCell ref="M2:V2"/>
    <mergeCell ref="X2:AG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 quincenas</vt:lpstr>
      <vt:lpstr>TABLAS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Fhernandez</dc:creator>
  <cp:lastModifiedBy>Francisco Hernandez</cp:lastModifiedBy>
  <dcterms:created xsi:type="dcterms:W3CDTF">2020-02-03T18:26:45Z</dcterms:created>
  <dcterms:modified xsi:type="dcterms:W3CDTF">2021-01-25T15:33:46Z</dcterms:modified>
</cp:coreProperties>
</file>